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Kippen und Gleiten" sheetId="1" r:id="rId1"/>
    <sheet name="Info" sheetId="2" r:id="rId2"/>
    <sheet name="Version" sheetId="3" r:id="rId3"/>
  </sheets>
  <definedNames>
    <definedName name="alpha">'Kippen und Gleiten'!$C$18</definedName>
    <definedName name="alphaL">'Kippen und Gleiten'!$A$17</definedName>
    <definedName name="alphaLager">'Kippen und Gleiten'!$C$17</definedName>
    <definedName name="alphaLagerTrapez">'Kippen und Gleiten'!$C$16</definedName>
    <definedName name="Anzug">'Kippen und Gleiten'!$C$9</definedName>
    <definedName name="AnzugAbsolut">'Kippen und Gleiten'!$H$9</definedName>
    <definedName name="beta">'Kippen und Gleiten'!$C$10</definedName>
    <definedName name="Bodenwichte">'Kippen und Gleiten'!$C$14</definedName>
    <definedName name="Breite">'Kippen und Gleiten'!$C$8</definedName>
    <definedName name="BreiteVFP">'Kippen und Gleiten'!$H$8</definedName>
    <definedName name="delta">'Kippen und Gleiten'!$H$11</definedName>
    <definedName name="DeltaPhiFaktor">'Kippen und Gleiten'!$F$11</definedName>
    <definedName name="Ea">'Kippen und Gleiten'!$C$1:$C$65528</definedName>
    <definedName name="Eag">'Kippen und Gleiten'!$F$23</definedName>
    <definedName name="eagh">'Kippen und Gleiten'!$C$28</definedName>
    <definedName name="eagv">'Kippen und Gleiten'!$C$29</definedName>
    <definedName name="Eah">'Kippen und Gleiten'!$N$1:$N$65528</definedName>
    <definedName name="Eap">'Kippen und Gleiten'!$F$24</definedName>
    <definedName name="eaph">'Kippen und Gleiten'!$C$30</definedName>
    <definedName name="eapv">'Kippen und Gleiten'!$C$31</definedName>
    <definedName name="Eav">#N/A</definedName>
    <definedName name="Fagh">'Kippen und Gleiten'!$F$28</definedName>
    <definedName name="Fagv">'Kippen und Gleiten'!$F$29</definedName>
    <definedName name="Faph">'Kippen und Gleiten'!$F$30</definedName>
    <definedName name="Fapv">'Kippen und Gleiten'!$F$31</definedName>
    <definedName name="Flaeche">'Kippen und Gleiten'!$C$19</definedName>
    <definedName name="G">'Kippen und Gleiten'!$B$1:$B$65528</definedName>
    <definedName name="Gewicht">'Kippen und Gleiten'!$C$20</definedName>
    <definedName name="Hoehe">'Kippen und Gleiten'!$C$7</definedName>
    <definedName name="Hohlraum">'Kippen und Gleiten'!$F$13</definedName>
    <definedName name="Kag">'Kippen und Gleiten'!$C$23</definedName>
    <definedName name="Kagh">'Kippen und Gleiten'!$C$24</definedName>
    <definedName name="Kronenbreite">'Kippen und Gleiten'!$L$8</definedName>
    <definedName name="Ld">'Kippen und Gleiten'!$H$22</definedName>
    <definedName name="LE">'Kippen und Gleiten'!$H$23</definedName>
    <definedName name="LP">'Kippen und Gleiten'!$H$24</definedName>
    <definedName name="Mauerwichte">'Kippen und Gleiten'!$C$13</definedName>
    <definedName name="ME">'Kippen und Gleiten'!$I$23</definedName>
    <definedName name="MEagh">'Kippen und Gleiten'!$I$28</definedName>
    <definedName name="MEagv">'Kippen und Gleiten'!$I$29</definedName>
    <definedName name="MEaph">'Kippen und Gleiten'!$I$30</definedName>
    <definedName name="MEapv">'Kippen und Gleiten'!$I$31</definedName>
    <definedName name="MG">'Kippen und Gleiten'!$I$20</definedName>
    <definedName name="Modus">'Kippen und Gleiten'!$C$6</definedName>
    <definedName name="MP">'Kippen und Gleiten'!$I$24</definedName>
    <definedName name="Mu">'Kippen und Gleiten'!$H$12</definedName>
    <definedName name="p">'Kippen und Gleiten'!$C$15</definedName>
    <definedName name="phi">'Kippen und Gleiten'!$L$6</definedName>
    <definedName name="phiFundament">'Kippen und Gleiten'!$C$12</definedName>
    <definedName name="phiWahr">'Kippen und Gleiten'!$C$11</definedName>
    <definedName name="Steinwichte">'Kippen und Gleiten'!$H$13</definedName>
    <definedName name="Stuetzhoehe">'Kippen und Gleiten'!$H$7</definedName>
    <definedName name="SummeG">'Kippen und Gleiten'!$F$32</definedName>
    <definedName name="SummeGP">'Kippen und Gleiten'!$F$33</definedName>
    <definedName name="tandelta">#N/A</definedName>
    <definedName name="Typ">'Kippen und Gleiten'!$C$5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4" authorId="0">
      <text>
        <r>
          <rPr>
            <sz val="10"/>
            <rFont val="Arial"/>
            <family val="2"/>
          </rPr>
          <t>Entspricht üblichen Tabellen aber Achtung Vorzeichen von alpha.</t>
        </r>
      </text>
    </comment>
  </commentList>
</comments>
</file>

<file path=xl/sharedStrings.xml><?xml version="1.0" encoding="utf-8"?>
<sst xmlns="http://schemas.openxmlformats.org/spreadsheetml/2006/main" count="118" uniqueCount="101">
  <si>
    <t>MurCalc: Berechnungstabelle für Stützmauerprofile bezüglich Kippen und Gleiten, Version 0.605 – XLS, nicht zur Verbreitung und ohne Gewähr!</t>
  </si>
  <si>
    <t>Eingaben  hier</t>
  </si>
  <si>
    <t>Typ =</t>
  </si>
  <si>
    <t xml:space="preserve">1, 2, 3, oder 4: bedeutet: </t>
  </si>
  <si>
    <t>Definitionen siehe Info</t>
  </si>
  <si>
    <t>Modus =</t>
  </si>
  <si>
    <t xml:space="preserve">0, 3, oder 4: bedeutet: </t>
  </si>
  <si>
    <t>φ Boden justiert (°)</t>
  </si>
  <si>
    <t>H =</t>
  </si>
  <si>
    <t>m</t>
  </si>
  <si>
    <t>vordere Höhe der Sichtfläche (m)</t>
  </si>
  <si>
    <t>Stützhöhe (m)</t>
  </si>
  <si>
    <t>Breite =</t>
  </si>
  <si>
    <t>horizontaler Abstand der Fusspunkte</t>
  </si>
  <si>
    <t>Breite auf Höhe vorderer Fusspunkt (m)</t>
  </si>
  <si>
    <t>Kronenbreite (m)</t>
  </si>
  <si>
    <t>Anzug =</t>
  </si>
  <si>
    <t>%</t>
  </si>
  <si>
    <t>Anzug der Sichtfläche</t>
  </si>
  <si>
    <t>absoluter Anzug (m)</t>
  </si>
  <si>
    <t>β =</t>
  </si>
  <si>
    <t>°</t>
  </si>
  <si>
    <t>Geländeneigung erdseits</t>
  </si>
  <si>
    <t>φ Boden =</t>
  </si>
  <si>
    <t xml:space="preserve">Faktor δ / φ = </t>
  </si>
  <si>
    <t>δ (Richtungswinkel in ° von Eag zum Lot von α)</t>
  </si>
  <si>
    <t>φ Fundament =</t>
  </si>
  <si>
    <t>Reibungswinkel Fundament</t>
  </si>
  <si>
    <t>μ Fundament (Gründung oder Steine), für Gleitnachweis</t>
  </si>
  <si>
    <t>γ Mauer =</t>
  </si>
  <si>
    <t>kN/m³</t>
  </si>
  <si>
    <t xml:space="preserve">Hohlraum = </t>
  </si>
  <si>
    <t>γ Stein (Wichte der Bausteine in kN/m³)</t>
  </si>
  <si>
    <t>γ Boden =</t>
  </si>
  <si>
    <t>Bodenwichte</t>
  </si>
  <si>
    <t>Faktor (γ Mauer / γ Boden)</t>
  </si>
  <si>
    <t>p =</t>
  </si>
  <si>
    <t>kN/m²</t>
  </si>
  <si>
    <t>Auflast, Verkehrslast</t>
  </si>
  <si>
    <r>
      <t>α</t>
    </r>
    <r>
      <rPr>
        <vertAlign val="subscript"/>
        <sz val="10"/>
        <rFont val="Arial"/>
        <family val="2"/>
      </rPr>
      <t>L</t>
    </r>
  </si>
  <si>
    <t>Neigungsungswinkel der Lager (Gründung und Schichten)</t>
  </si>
  <si>
    <t>α</t>
  </si>
  <si>
    <t>Winkel der inneren Fläche</t>
  </si>
  <si>
    <t>F</t>
  </si>
  <si>
    <t>m²</t>
  </si>
  <si>
    <t>Fläche des Profils</t>
  </si>
  <si>
    <t>Hebelarm (m)</t>
  </si>
  <si>
    <t>Moment (kNm)</t>
  </si>
  <si>
    <t>G</t>
  </si>
  <si>
    <t>kN/m</t>
  </si>
  <si>
    <t>Gewicht pro m Länge</t>
  </si>
  <si>
    <t>Standmoment (Näherung mit sehr kleinem Fehler)</t>
  </si>
  <si>
    <t>Koeffizient aktiver Erddruck</t>
  </si>
  <si>
    <t>Erddruckkraft (kN/m)</t>
  </si>
  <si>
    <t>(Ld)</t>
  </si>
  <si>
    <t>Kag</t>
  </si>
  <si>
    <t>Eag</t>
  </si>
  <si>
    <t>Kagh</t>
  </si>
  <si>
    <t>Eap</t>
  </si>
  <si>
    <t>Abst.z.FP (m)</t>
  </si>
  <si>
    <t>SF Kipp</t>
  </si>
  <si>
    <t>SF Gleit</t>
  </si>
  <si>
    <t>Summe g</t>
  </si>
  <si>
    <t>Summe g+p</t>
  </si>
  <si>
    <t>Erddruck (kN/m²)</t>
  </si>
  <si>
    <t>eagh</t>
  </si>
  <si>
    <t>Eagh</t>
  </si>
  <si>
    <t>eagv</t>
  </si>
  <si>
    <t>Eagv</t>
  </si>
  <si>
    <t>eaph</t>
  </si>
  <si>
    <t>Eaph</t>
  </si>
  <si>
    <t>DIN</t>
  </si>
  <si>
    <t>SIA</t>
  </si>
  <si>
    <t>eapv</t>
  </si>
  <si>
    <t>Eapv</t>
  </si>
  <si>
    <t>vorh. e</t>
  </si>
  <si>
    <t>max. e</t>
  </si>
  <si>
    <t>g</t>
  </si>
  <si>
    <t>g+p</t>
  </si>
  <si>
    <t>Exzentrizität der Stützlinie (m)</t>
  </si>
  <si>
    <t>Die Berechnungen nehmen einen starren Körper an und einen Kippunkt am vorderen Fusspunkt.</t>
  </si>
  <si>
    <t xml:space="preserve">Die Abstände der Resultierenden (e und Abstand vom vorderen Fusspunkt) sind entlang der Breite am vorderen Fusspunkt. </t>
  </si>
  <si>
    <t>Typ 1 = Rechteck</t>
  </si>
  <si>
    <t>Typ 2 = Sehnenviereck</t>
  </si>
  <si>
    <t>Typ 3 = Trapez nach FLL</t>
  </si>
  <si>
    <t>Typ 4 = Trapez nach CAPEB</t>
  </si>
  <si>
    <t>Modus 0 = unjustiert. Entspricht einem starren Mauerkörper wie aus Beton oder einem einzigen Stein.</t>
  </si>
  <si>
    <t>Modus 3 = justiert nach FLL Diagramm 5.1.</t>
  </si>
  <si>
    <t>Modus 4 = justiert nach CAPEB Diagramm auf Seite 119.</t>
  </si>
  <si>
    <t>Version 0.5</t>
  </si>
  <si>
    <t>Datum</t>
  </si>
  <si>
    <t>Änderungen</t>
  </si>
  <si>
    <t>Autor</t>
  </si>
  <si>
    <t>Fehler bei Stützhöhe Typ 4 behoben, Tabelle geschützt bis auf Eingabe-Zellen.</t>
  </si>
  <si>
    <t>Theo Schmidt</t>
  </si>
  <si>
    <t>delta zu phi Faktor</t>
  </si>
  <si>
    <t>ts</t>
  </si>
  <si>
    <t>Hohlraum und delta zu phi nun einstellbar</t>
  </si>
  <si>
    <t>parallele (redundante) Methoden zur Berechnung der Sicherheitsfaktoren entfernt</t>
  </si>
  <si>
    <t>bessere Darstellung, Anfangswerte wie bei Graphischer Methode</t>
  </si>
  <si>
    <t>Justierformeln für FLL und CAPEB zugefügt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</si>
</sst>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"/>
    <numFmt numFmtId="167" formatCode="0.00"/>
    <numFmt numFmtId="168" formatCode="#,##0.00"/>
    <numFmt numFmtId="169" formatCode="0.000"/>
    <numFmt numFmtId="170" formatCode="0.0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 vertical="center"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0" fillId="0" borderId="3" xfId="0" applyBorder="1" applyAlignment="1">
      <alignment/>
    </xf>
    <xf numFmtId="164" fontId="0" fillId="0" borderId="0" xfId="0" applyFont="1" applyAlignment="1">
      <alignment horizontal="left" vertical="center" indent="1"/>
    </xf>
    <xf numFmtId="166" fontId="0" fillId="0" borderId="1" xfId="0" applyNumberFormat="1" applyBorder="1" applyAlignment="1">
      <alignment horizontal="center" vertical="center"/>
    </xf>
    <xf numFmtId="167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indent="1"/>
    </xf>
    <xf numFmtId="164" fontId="0" fillId="0" borderId="0" xfId="0" applyFont="1" applyAlignment="1">
      <alignment horizontal="left"/>
    </xf>
    <xf numFmtId="167" fontId="0" fillId="0" borderId="1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 horizontal="left" vertical="center" indent="1"/>
    </xf>
    <xf numFmtId="167" fontId="0" fillId="0" borderId="1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left" indent="1"/>
    </xf>
    <xf numFmtId="167" fontId="0" fillId="0" borderId="1" xfId="0" applyNumberFormat="1" applyFont="1" applyFill="1" applyBorder="1" applyAlignment="1">
      <alignment horizontal="center" vertical="center"/>
    </xf>
    <xf numFmtId="164" fontId="0" fillId="2" borderId="1" xfId="0" applyFill="1" applyBorder="1" applyAlignment="1" applyProtection="1">
      <alignment horizontal="center" vertical="center"/>
      <protection locked="0"/>
    </xf>
    <xf numFmtId="167" fontId="0" fillId="0" borderId="1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left" indent="1"/>
    </xf>
    <xf numFmtId="167" fontId="0" fillId="0" borderId="0" xfId="0" applyNumberFormat="1" applyAlignment="1">
      <alignment/>
    </xf>
    <xf numFmtId="167" fontId="0" fillId="2" borderId="1" xfId="0" applyNumberFormat="1" applyFill="1" applyBorder="1" applyAlignment="1" applyProtection="1">
      <alignment horizontal="center" vertical="top"/>
      <protection locked="0"/>
    </xf>
    <xf numFmtId="168" fontId="0" fillId="0" borderId="1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left" indent="1"/>
    </xf>
    <xf numFmtId="167" fontId="0" fillId="0" borderId="0" xfId="0" applyNumberFormat="1" applyBorder="1" applyAlignment="1">
      <alignment horizontal="center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top"/>
      <protection locked="0"/>
    </xf>
    <xf numFmtId="167" fontId="0" fillId="0" borderId="1" xfId="0" applyNumberFormat="1" applyFill="1" applyBorder="1" applyAlignment="1" applyProtection="1">
      <alignment horizontal="center" vertical="top"/>
      <protection locked="0"/>
    </xf>
    <xf numFmtId="164" fontId="0" fillId="0" borderId="0" xfId="0" applyFont="1" applyFill="1" applyBorder="1" applyAlignment="1">
      <alignment horizontal="left" vertical="top" indent="1"/>
    </xf>
    <xf numFmtId="164" fontId="0" fillId="0" borderId="0" xfId="0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5" fillId="0" borderId="0" xfId="0" applyFont="1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9" fontId="0" fillId="0" borderId="1" xfId="0" applyNumberForma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left" vertical="top"/>
    </xf>
    <xf numFmtId="164" fontId="0" fillId="0" borderId="1" xfId="0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 vertical="top"/>
    </xf>
    <xf numFmtId="164" fontId="0" fillId="0" borderId="2" xfId="0" applyFont="1" applyFill="1" applyBorder="1" applyAlignment="1">
      <alignment horizontal="left"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ill="1" applyBorder="1" applyAlignment="1">
      <alignment/>
    </xf>
    <xf numFmtId="169" fontId="0" fillId="3" borderId="1" xfId="0" applyNumberForma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9" fontId="2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4" borderId="1" xfId="0" applyFont="1" applyFill="1" applyBorder="1" applyAlignment="1">
      <alignment/>
    </xf>
    <xf numFmtId="169" fontId="2" fillId="4" borderId="1" xfId="0" applyNumberFormat="1" applyFont="1" applyFill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70" fontId="0" fillId="0" borderId="0" xfId="0" applyNumberFormat="1" applyFill="1" applyAlignment="1">
      <alignment horizontal="center" vertical="top"/>
    </xf>
    <xf numFmtId="164" fontId="0" fillId="0" borderId="1" xfId="0" applyFont="1" applyFill="1" applyBorder="1" applyAlignment="1">
      <alignment horizontal="center"/>
    </xf>
    <xf numFmtId="164" fontId="0" fillId="0" borderId="6" xfId="0" applyFill="1" applyBorder="1" applyAlignment="1">
      <alignment/>
    </xf>
    <xf numFmtId="164" fontId="0" fillId="0" borderId="7" xfId="0" applyFill="1" applyBorder="1" applyAlignment="1">
      <alignment/>
    </xf>
    <xf numFmtId="164" fontId="0" fillId="3" borderId="1" xfId="0" applyFont="1" applyFill="1" applyBorder="1" applyAlignment="1">
      <alignment horizontal="left"/>
    </xf>
    <xf numFmtId="167" fontId="0" fillId="0" borderId="0" xfId="0" applyNumberFormat="1" applyFill="1" applyAlignment="1">
      <alignment/>
    </xf>
    <xf numFmtId="167" fontId="2" fillId="5" borderId="1" xfId="0" applyNumberFormat="1" applyFont="1" applyFill="1" applyBorder="1" applyAlignment="1">
      <alignment horizontal="center"/>
    </xf>
    <xf numFmtId="169" fontId="2" fillId="6" borderId="1" xfId="0" applyNumberFormat="1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/>
    </xf>
    <xf numFmtId="164" fontId="0" fillId="0" borderId="7" xfId="0" applyBorder="1" applyAlignment="1">
      <alignment/>
    </xf>
    <xf numFmtId="167" fontId="0" fillId="3" borderId="1" xfId="0" applyNumberFormat="1" applyFont="1" applyFill="1" applyBorder="1" applyAlignment="1">
      <alignment horizontal="center"/>
    </xf>
    <xf numFmtId="167" fontId="2" fillId="5" borderId="8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1" xfId="0" applyBorder="1" applyAlignment="1">
      <alignment/>
    </xf>
    <xf numFmtId="168" fontId="0" fillId="4" borderId="1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 vertical="top"/>
    </xf>
    <xf numFmtId="164" fontId="0" fillId="0" borderId="0" xfId="0" applyAlignment="1">
      <alignment/>
    </xf>
    <xf numFmtId="164" fontId="0" fillId="4" borderId="1" xfId="0" applyFont="1" applyFill="1" applyBorder="1" applyAlignment="1">
      <alignment horizontal="center" vertical="top"/>
    </xf>
    <xf numFmtId="164" fontId="0" fillId="0" borderId="9" xfId="0" applyBorder="1" applyAlignment="1">
      <alignment/>
    </xf>
    <xf numFmtId="168" fontId="0" fillId="0" borderId="9" xfId="0" applyNumberFormat="1" applyFill="1" applyBorder="1" applyAlignment="1">
      <alignment horizontal="right"/>
    </xf>
    <xf numFmtId="169" fontId="2" fillId="4" borderId="1" xfId="0" applyNumberFormat="1" applyFont="1" applyFill="1" applyBorder="1" applyAlignment="1">
      <alignment horizontal="center" vertical="top"/>
    </xf>
    <xf numFmtId="169" fontId="6" fillId="4" borderId="1" xfId="0" applyNumberFormat="1" applyFont="1" applyFill="1" applyBorder="1" applyAlignment="1">
      <alignment horizontal="center" vertical="top"/>
    </xf>
    <xf numFmtId="164" fontId="0" fillId="0" borderId="2" xfId="0" applyFont="1" applyBorder="1" applyAlignment="1">
      <alignment horizontal="left"/>
    </xf>
    <xf numFmtId="164" fontId="0" fillId="0" borderId="9" xfId="0" applyBorder="1" applyAlignment="1">
      <alignment horizontal="left"/>
    </xf>
    <xf numFmtId="164" fontId="0" fillId="0" borderId="3" xfId="0" applyBorder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workbookViewId="0" topLeftCell="A1">
      <selection activeCell="B2" sqref="B2"/>
    </sheetView>
  </sheetViews>
  <sheetFormatPr defaultColWidth="11.421875" defaultRowHeight="12.75" customHeight="1"/>
  <cols>
    <col min="1" max="1" width="7.421875" style="0" customWidth="1"/>
    <col min="2" max="2" width="14.00390625" style="0" customWidth="1"/>
    <col min="3" max="3" width="10.57421875" style="0" customWidth="1"/>
    <col min="4" max="4" width="6.00390625" style="0" customWidth="1"/>
    <col min="5" max="5" width="14.8515625" style="0" customWidth="1"/>
    <col min="6" max="6" width="10.8515625" style="0" customWidth="1"/>
    <col min="7" max="7" width="8.00390625" style="0" customWidth="1"/>
    <col min="8" max="8" width="12.28125" style="0" customWidth="1"/>
    <col min="9" max="9" width="13.421875" style="0" customWidth="1"/>
    <col min="10" max="10" width="12.57421875" style="0" customWidth="1"/>
    <col min="11" max="11" width="9.140625" style="0" customWidth="1"/>
    <col min="12" max="12" width="12.57421875" style="0" customWidth="1"/>
    <col min="13" max="13" width="4.28125" style="0" customWidth="1"/>
    <col min="15" max="15" width="16.7109375" style="0" customWidth="1"/>
  </cols>
  <sheetData>
    <row r="2" spans="2:11" ht="18.75" customHeight="1">
      <c r="B2" s="1" t="s">
        <v>0</v>
      </c>
      <c r="J2" s="2"/>
      <c r="K2" s="3"/>
    </row>
    <row r="3" spans="2:11" ht="9.75" customHeight="1">
      <c r="B3" s="1"/>
      <c r="J3" s="2"/>
      <c r="K3" s="3"/>
    </row>
    <row r="4" ht="27" customHeight="1">
      <c r="C4" s="4" t="s">
        <v>1</v>
      </c>
    </row>
    <row r="5" spans="2:12" s="5" customFormat="1" ht="16.5" customHeight="1">
      <c r="B5" s="6" t="s">
        <v>2</v>
      </c>
      <c r="C5" s="7">
        <v>3</v>
      </c>
      <c r="D5" s="8"/>
      <c r="E5" s="9"/>
      <c r="F5" s="6" t="s">
        <v>3</v>
      </c>
      <c r="G5" s="10" t="str">
        <f>IF(Typ=1,"Rechteck",IF(Typ=2,"Sehnenviereck",IF(Typ=3,"Trapez nach FLL","Trapez nach CAPEB")))</f>
        <v>Trapez nach FLL</v>
      </c>
      <c r="H5" s="11"/>
      <c r="I5" s="12" t="s">
        <v>4</v>
      </c>
      <c r="J5"/>
      <c r="K5"/>
      <c r="L5"/>
    </row>
    <row r="6" spans="2:13" s="5" customFormat="1" ht="16.5" customHeight="1">
      <c r="B6" s="6" t="s">
        <v>5</v>
      </c>
      <c r="C6" s="7">
        <v>3</v>
      </c>
      <c r="D6" s="8"/>
      <c r="E6" s="9"/>
      <c r="F6" s="6" t="s">
        <v>6</v>
      </c>
      <c r="G6" s="10" t="str">
        <f>IF(Modus=0,"unjustiert",IF(Modus=2,"unjustiert",IF(Modus=3,"justiert nach FLL",IF(Modus=4,"justiert nach CAPEB","Wähle 0, 3 oder 4!"))))</f>
        <v>justiert nach FLL</v>
      </c>
      <c r="H6" s="11"/>
      <c r="I6" s="12" t="s">
        <v>4</v>
      </c>
      <c r="J6"/>
      <c r="K6"/>
      <c r="L6" s="13">
        <f>IF(Modus=0,phiWahr,IF(Modus=3,phiWahr-(phiWahr/5+1),IF(Modus=4,phiWahr-(phiWahr/4+2))))</f>
        <v>23</v>
      </c>
      <c r="M6" s="12" t="s">
        <v>7</v>
      </c>
    </row>
    <row r="7" spans="2:13" s="5" customFormat="1" ht="16.5" customHeight="1">
      <c r="B7" s="6" t="s">
        <v>8</v>
      </c>
      <c r="C7" s="14">
        <v>2</v>
      </c>
      <c r="D7" s="15" t="s">
        <v>9</v>
      </c>
      <c r="E7" s="16" t="s">
        <v>10</v>
      </c>
      <c r="F7"/>
      <c r="G7" s="17"/>
      <c r="H7" s="18">
        <f>IF(OR(Typ=2,Typ=3),IF(Typ=2,Hoehe+(BreiteVFP*TAN(alphaL)),Hoehe+AnzugAbsolut*TAN(alphaL)),Hoehe)</f>
        <v>2.02</v>
      </c>
      <c r="I7" s="19" t="s">
        <v>11</v>
      </c>
      <c r="J7"/>
      <c r="K7"/>
      <c r="L7"/>
      <c r="M7" s="17"/>
    </row>
    <row r="8" spans="2:13" s="5" customFormat="1" ht="16.5" customHeight="1">
      <c r="B8" s="6" t="s">
        <v>12</v>
      </c>
      <c r="C8" s="14">
        <v>1.02</v>
      </c>
      <c r="D8" s="15" t="s">
        <v>9</v>
      </c>
      <c r="E8" s="20" t="s">
        <v>13</v>
      </c>
      <c r="F8"/>
      <c r="G8" s="17"/>
      <c r="H8" s="21">
        <f>Breite*(1+TAN(RADIANS(alpha))*TAN(alphaL))</f>
        <v>1.02</v>
      </c>
      <c r="I8" s="22" t="s">
        <v>14</v>
      </c>
      <c r="J8"/>
      <c r="K8"/>
      <c r="L8" s="23">
        <f>IF(OR(Typ=1,Typ=3),IF(Typ=1,BreiteVFP,(Breite-AnzugAbsolut)/(COS(alphaL)^2)),Breite-AnzugAbsolut)</f>
        <v>0.8282</v>
      </c>
      <c r="M8" s="16" t="s">
        <v>15</v>
      </c>
    </row>
    <row r="9" spans="2:13" ht="16.5" customHeight="1">
      <c r="B9" s="6" t="s">
        <v>16</v>
      </c>
      <c r="C9" s="24">
        <v>10</v>
      </c>
      <c r="D9" s="15" t="s">
        <v>17</v>
      </c>
      <c r="E9" s="12" t="s">
        <v>18</v>
      </c>
      <c r="H9" s="25">
        <f>Hoehe*Anzug%</f>
        <v>0.2</v>
      </c>
      <c r="I9" s="22" t="s">
        <v>19</v>
      </c>
      <c r="M9" s="26"/>
    </row>
    <row r="10" spans="2:13" ht="16.5" customHeight="1">
      <c r="B10" s="6" t="s">
        <v>20</v>
      </c>
      <c r="C10" s="24">
        <v>0</v>
      </c>
      <c r="D10" s="15" t="s">
        <v>21</v>
      </c>
      <c r="E10" s="12" t="s">
        <v>22</v>
      </c>
      <c r="I10" s="27"/>
      <c r="M10" s="28"/>
    </row>
    <row r="11" spans="2:13" ht="16.5" customHeight="1">
      <c r="B11" s="6" t="s">
        <v>23</v>
      </c>
      <c r="C11" s="24">
        <v>30</v>
      </c>
      <c r="D11" s="15" t="s">
        <v>21</v>
      </c>
      <c r="E11" s="6" t="s">
        <v>24</v>
      </c>
      <c r="F11" s="29">
        <v>1</v>
      </c>
      <c r="H11" s="30">
        <f>phi*DeltaPhiFaktor</f>
        <v>23</v>
      </c>
      <c r="I11" s="27" t="s">
        <v>25</v>
      </c>
      <c r="M11" s="31"/>
    </row>
    <row r="12" spans="2:13" ht="16.5" customHeight="1">
      <c r="B12" s="6" t="s">
        <v>26</v>
      </c>
      <c r="C12" s="24">
        <v>30</v>
      </c>
      <c r="D12" s="15" t="s">
        <v>21</v>
      </c>
      <c r="E12" s="12" t="s">
        <v>27</v>
      </c>
      <c r="H12" s="30">
        <f>TAN(RADIANS(phiFundament))</f>
        <v>0.5773502691896261</v>
      </c>
      <c r="I12" s="31" t="s">
        <v>28</v>
      </c>
      <c r="L12" s="32"/>
      <c r="M12" s="27"/>
    </row>
    <row r="13" spans="2:13" ht="16.5" customHeight="1">
      <c r="B13" s="6" t="s">
        <v>29</v>
      </c>
      <c r="C13" s="33">
        <v>15</v>
      </c>
      <c r="D13" s="15" t="s">
        <v>30</v>
      </c>
      <c r="E13" s="6" t="s">
        <v>31</v>
      </c>
      <c r="F13" s="34">
        <v>25</v>
      </c>
      <c r="G13" t="s">
        <v>17</v>
      </c>
      <c r="H13" s="35">
        <f>Mauerwichte/(1-Hohlraum%)</f>
        <v>20</v>
      </c>
      <c r="I13" s="31" t="s">
        <v>32</v>
      </c>
      <c r="L13" s="32"/>
      <c r="M13" s="27"/>
    </row>
    <row r="14" spans="2:13" ht="16.5" customHeight="1">
      <c r="B14" s="6" t="s">
        <v>33</v>
      </c>
      <c r="C14" s="24">
        <v>20</v>
      </c>
      <c r="D14" s="15" t="s">
        <v>30</v>
      </c>
      <c r="E14" s="12" t="s">
        <v>34</v>
      </c>
      <c r="H14" s="30">
        <f>Mauerwichte/Bodenwichte</f>
        <v>0.75</v>
      </c>
      <c r="I14" s="31" t="s">
        <v>35</v>
      </c>
      <c r="M14" s="36"/>
    </row>
    <row r="15" spans="2:13" ht="16.5" customHeight="1">
      <c r="B15" s="6" t="s">
        <v>36</v>
      </c>
      <c r="C15" s="24">
        <v>5</v>
      </c>
      <c r="D15" s="15" t="s">
        <v>37</v>
      </c>
      <c r="E15" s="12" t="s">
        <v>38</v>
      </c>
      <c r="M15" s="27"/>
    </row>
    <row r="16" spans="2:13" ht="16.5" customHeight="1">
      <c r="B16" s="26"/>
      <c r="C16" s="37"/>
      <c r="D16" s="26"/>
      <c r="E16" s="12"/>
      <c r="M16" s="36"/>
    </row>
    <row r="17" spans="1:13" ht="16.5" customHeight="1">
      <c r="A17" s="38">
        <f>RADIANS(alphaLager)</f>
        <v>0.09966865249116198</v>
      </c>
      <c r="B17" s="39" t="s">
        <v>39</v>
      </c>
      <c r="C17" s="40">
        <f>IF(Typ=4,0,DEGREES(ATAN(Anzug%)))</f>
        <v>5.71059313749964</v>
      </c>
      <c r="D17" s="9" t="s">
        <v>21</v>
      </c>
      <c r="E17" s="12" t="s">
        <v>40</v>
      </c>
      <c r="G17" s="41"/>
      <c r="M17" s="27"/>
    </row>
    <row r="18" spans="2:13" ht="16.5" customHeight="1">
      <c r="B18" s="39" t="s">
        <v>41</v>
      </c>
      <c r="C18" s="40">
        <f>IF(Typ&gt;=2,0,DEGREES(ATAN(Anzug/100)))</f>
        <v>0</v>
      </c>
      <c r="D18" s="9" t="s">
        <v>21</v>
      </c>
      <c r="E18" s="12" t="s">
        <v>42</v>
      </c>
      <c r="G18" s="42"/>
      <c r="M18" s="27"/>
    </row>
    <row r="19" spans="2:13" ht="14.25" customHeight="1">
      <c r="B19" s="39" t="s">
        <v>43</v>
      </c>
      <c r="C19" s="43">
        <f>IF(Typ=1,Hoehe*BreiteVFP,IF(Typ=2,Hoehe*(BreiteVFP-AnzugAbsolut/2)+(BreiteVFP*(Stuetzhoehe-Hoehe)/2),IF(Typ=3,Hoehe*Breite/COS(RADIANS(alphaLager))^2-Stuetzhoehe*AnzugAbsolut/2,Stuetzhoehe*(Breite-(AnzugAbsolut/2)))))</f>
        <v>1.8584</v>
      </c>
      <c r="D19" s="9" t="s">
        <v>44</v>
      </c>
      <c r="E19" s="12" t="s">
        <v>45</v>
      </c>
      <c r="H19" s="44" t="s">
        <v>46</v>
      </c>
      <c r="I19" s="44" t="s">
        <v>47</v>
      </c>
      <c r="M19" s="27"/>
    </row>
    <row r="20" spans="2:14" ht="12.75">
      <c r="B20" s="45" t="s">
        <v>48</v>
      </c>
      <c r="C20" s="46">
        <f>Mauerwichte*Flaeche</f>
        <v>27.876</v>
      </c>
      <c r="D20" s="47" t="s">
        <v>49</v>
      </c>
      <c r="E20" s="12" t="s">
        <v>50</v>
      </c>
      <c r="H20" s="48">
        <f>IF(Typ=1,(AnzugAbsolut+BreiteVFP*(COS(RADIANS(alpha))^2))/2,(2*BreiteVFP-Kronenbreite^2/(BreiteVFP+Kronenbreite))/3)</f>
        <v>0.5562913032500091</v>
      </c>
      <c r="I20" s="25">
        <f>Gewicht*H20</f>
        <v>15.5071763693973</v>
      </c>
      <c r="J20" s="49" t="s">
        <v>51</v>
      </c>
      <c r="M20" s="50"/>
      <c r="N20" s="51"/>
    </row>
    <row r="21" spans="5:14" ht="12.75">
      <c r="E21" s="52"/>
      <c r="F21" s="53"/>
      <c r="G21" s="54"/>
      <c r="H21" s="55"/>
      <c r="I21" s="55"/>
      <c r="J21" s="56"/>
      <c r="K21" s="57"/>
      <c r="L21" s="58"/>
      <c r="M21" s="50"/>
      <c r="N21" s="51"/>
    </row>
    <row r="22" spans="2:13" ht="12.75">
      <c r="B22" s="59" t="s">
        <v>52</v>
      </c>
      <c r="C22" s="60"/>
      <c r="D22" s="61"/>
      <c r="E22" s="62" t="s">
        <v>53</v>
      </c>
      <c r="F22" s="63"/>
      <c r="G22" s="61"/>
      <c r="H22" s="64">
        <f>SQRT(Stuetzhoehe^2/(9*(COS(RADIANS(alpha))^2))+BreiteVFP^2*COS(RADIANS(alpha))^2/COS(RADIANS(alphaLager-alpha))^2-2/3*Stuetzhoehe*BreiteVFP*TAN(RADIANS(alphaLager-alpha)))</f>
        <v>1.16911153350644</v>
      </c>
      <c r="I22" s="55" t="s">
        <v>54</v>
      </c>
      <c r="K22" s="2"/>
      <c r="M22" s="27"/>
    </row>
    <row r="23" spans="2:13" ht="12.75">
      <c r="B23" s="65" t="s">
        <v>55</v>
      </c>
      <c r="C23" s="66">
        <f>Kagh/COS(RADIANS(delta-alpha))</f>
        <v>0.38187360421577204</v>
      </c>
      <c r="D23" s="61"/>
      <c r="E23" s="65" t="s">
        <v>56</v>
      </c>
      <c r="F23" s="67">
        <f>Fagh/COS(RADIANS(delta-alpha))</f>
        <v>-15.5819705464203</v>
      </c>
      <c r="H23" s="64">
        <f>Ld*COS(RADIANS(delta)+ASIN(BreiteVFP/Ld*COS(RADIANS(alpha))))</f>
        <v>0.127369355213436</v>
      </c>
      <c r="I23" s="68">
        <f>Eag*LE</f>
        <v>-1.98466554145232</v>
      </c>
      <c r="K23" s="69"/>
      <c r="M23" s="27"/>
    </row>
    <row r="24" spans="2:14" ht="12.75">
      <c r="B24" s="70" t="s">
        <v>57</v>
      </c>
      <c r="C24" s="71">
        <f>COS(RADIANS(phi+alpha))^2/(COS(RADIANS(alpha))^2*(1+SQRT(SIN(RADIANS(phi+delta))*SIN(RADIANS(phi-beta))/(COS(RADIANS(delta-alpha))*COS(RADIANS(alpha+beta)))))^2)</f>
        <v>0.35151650608599405</v>
      </c>
      <c r="E24" s="65" t="s">
        <v>58</v>
      </c>
      <c r="F24" s="72">
        <f>Faph/COS(RADIANS(delta-alpha))</f>
        <v>-3.85692340257929</v>
      </c>
      <c r="H24" s="64">
        <f>LE+(Stuetzhoehe/COS(RADIANS(delta-alpha)))/6</f>
        <v>0.493110682273219</v>
      </c>
      <c r="I24" s="68">
        <f>Eap*LP</f>
        <v>-1.90189013052142</v>
      </c>
      <c r="J24" s="73" t="s">
        <v>59</v>
      </c>
      <c r="K24" s="74"/>
      <c r="L24" s="75" t="s">
        <v>60</v>
      </c>
      <c r="N24" s="75" t="s">
        <v>61</v>
      </c>
    </row>
    <row r="25" spans="5:14" ht="12.75">
      <c r="E25" s="76"/>
      <c r="F25" s="77"/>
      <c r="H25" s="78" t="s">
        <v>62</v>
      </c>
      <c r="I25" s="68">
        <f>MG+ME</f>
        <v>13.522510827945</v>
      </c>
      <c r="J25" s="66">
        <f>I25/SummeG</f>
        <v>0.39813823830071404</v>
      </c>
      <c r="K25" s="79"/>
      <c r="L25" s="80">
        <f>ABS(MG/ME)</f>
        <v>7.81349605034692</v>
      </c>
      <c r="N25" s="81">
        <f>Mu*(-Eag*SIN(alphaL+RADIANS(delta-alpha))+Gewicht*COS(alphaL))/(-Eag*COS(alphaL+RADIANS(delta-alpha))-Gewicht*SIN(alphaL))</f>
        <v>1.86697130600904</v>
      </c>
    </row>
    <row r="26" spans="4:14" ht="12.75">
      <c r="D26" s="61"/>
      <c r="E26" s="82"/>
      <c r="F26" s="83"/>
      <c r="H26" s="78" t="s">
        <v>63</v>
      </c>
      <c r="I26" s="84">
        <f>MG+ME+MP</f>
        <v>11.6206206974236</v>
      </c>
      <c r="J26" s="66">
        <f>I26/SummeGP</f>
        <v>0.32760553381017</v>
      </c>
      <c r="L26" s="85">
        <f>ABS(MG/(ME+MP))</f>
        <v>3.98995349049565</v>
      </c>
      <c r="N26" s="81">
        <f>Mu*(-(Eag+Eap)*SIN(RADIANS(alphaLager+delta-alpha))+Gewicht*COS(RADIANS(alphaLager)))/(-(Eag+Eap)*COS(RADIANS(alphaLager+delta-alpha))-Gewicht*SIN(RADIANS(alphaLager)))</f>
        <v>1.49949892981715</v>
      </c>
    </row>
    <row r="27" spans="2:13" ht="13.5">
      <c r="B27" s="86" t="s">
        <v>64</v>
      </c>
      <c r="C27" s="60"/>
      <c r="D27" s="61"/>
      <c r="E27" s="87"/>
      <c r="F27" s="83"/>
      <c r="H27" s="88"/>
      <c r="I27" s="88"/>
      <c r="M27" s="27"/>
    </row>
    <row r="28" spans="2:13" ht="13.5">
      <c r="B28" s="70" t="s">
        <v>65</v>
      </c>
      <c r="C28" s="89">
        <f>Kagh*Stuetzhoehe*Bodenwichte</f>
        <v>14.2012668458742</v>
      </c>
      <c r="E28" s="70" t="s">
        <v>66</v>
      </c>
      <c r="F28" s="90">
        <f>-eagh*Stuetzhoehe/2</f>
        <v>-14.3432795143329</v>
      </c>
      <c r="H28" s="91">
        <f>Stuetzhoehe/3-Breite*TAN(RADIANS(alphaLager))</f>
        <v>0.571333333333333</v>
      </c>
      <c r="I28" s="92">
        <f>Fagh*H28</f>
        <v>-8.19479369585553</v>
      </c>
      <c r="K28" s="61"/>
      <c r="M28" s="27"/>
    </row>
    <row r="29" spans="2:13" ht="13.5">
      <c r="B29" s="70" t="s">
        <v>67</v>
      </c>
      <c r="C29" s="89">
        <f>eagh*TAN(RADIANS(delta-alpha))</f>
        <v>6.02808013434599</v>
      </c>
      <c r="E29" s="70" t="s">
        <v>68</v>
      </c>
      <c r="F29" s="89">
        <f>eagv*Stuetzhoehe/2</f>
        <v>6.08836093568945</v>
      </c>
      <c r="H29" s="91">
        <f>IF(Typ=1,AnzugAbsolut/3+BreiteVFP*(COS(RADIANS(alpha))^2),BreiteVFP)</f>
        <v>1.02</v>
      </c>
      <c r="I29" s="92">
        <f>Fagv*H29</f>
        <v>6.21012815440324</v>
      </c>
      <c r="K29" s="61"/>
      <c r="M29" s="27"/>
    </row>
    <row r="30" spans="2:15" ht="13.5">
      <c r="B30" s="70" t="s">
        <v>69</v>
      </c>
      <c r="C30" s="89">
        <f>p*Kagh</f>
        <v>1.75758253042997</v>
      </c>
      <c r="E30" s="70" t="s">
        <v>70</v>
      </c>
      <c r="F30" s="90">
        <f>-eaph*Stuetzhoehe</f>
        <v>-3.55031671146854</v>
      </c>
      <c r="H30" s="91">
        <f>Stuetzhoehe/2-Breite*TAN(RADIANS(alphaLager))</f>
        <v>0.908</v>
      </c>
      <c r="I30" s="92">
        <f>Faph*H30</f>
        <v>-3.22368757401343</v>
      </c>
      <c r="K30" s="55" t="s">
        <v>71</v>
      </c>
      <c r="L30" s="88" t="s">
        <v>72</v>
      </c>
      <c r="M30" s="27"/>
      <c r="O30" s="93"/>
    </row>
    <row r="31" spans="1:13" ht="13.5">
      <c r="A31" s="94"/>
      <c r="B31" s="70" t="s">
        <v>73</v>
      </c>
      <c r="C31" s="89">
        <f>eaph*TAN(RADIANS(delta-alpha))</f>
        <v>0.7460495215774741</v>
      </c>
      <c r="E31" s="70" t="s">
        <v>74</v>
      </c>
      <c r="F31" s="89">
        <f>eapv*Stuetzhoehe</f>
        <v>1.5070200335865</v>
      </c>
      <c r="H31" s="91">
        <f>IF(Typ=1,AnzugAbsolut/2+BreiteVFP*(COS(RADIANS(alpha))^2),BreiteVFP)</f>
        <v>1.02</v>
      </c>
      <c r="I31" s="92">
        <f>Fapv*H31</f>
        <v>1.53716043425823</v>
      </c>
      <c r="J31" s="95" t="s">
        <v>75</v>
      </c>
      <c r="K31" s="95" t="s">
        <v>76</v>
      </c>
      <c r="L31" s="95" t="s">
        <v>76</v>
      </c>
      <c r="M31" s="27"/>
    </row>
    <row r="32" spans="5:13" ht="13.5">
      <c r="E32" s="70" t="s">
        <v>62</v>
      </c>
      <c r="F32" s="89">
        <f>Gewicht+Fagv</f>
        <v>33.9643609356894</v>
      </c>
      <c r="G32" s="96"/>
      <c r="H32" s="97"/>
      <c r="I32" s="92">
        <f>MG+MEagh+MEagv</f>
        <v>13.522510827945</v>
      </c>
      <c r="J32" s="98">
        <f>BreiteVFP/2-I32/SummeG</f>
        <v>0.11186176169928501</v>
      </c>
      <c r="K32" s="99">
        <f>BreiteVFP/6</f>
        <v>0.17</v>
      </c>
      <c r="L32" s="99">
        <f>BreiteVFP/3</f>
        <v>0.34</v>
      </c>
      <c r="M32" s="88" t="s">
        <v>77</v>
      </c>
    </row>
    <row r="33" spans="5:13" ht="13.5">
      <c r="E33" s="70" t="s">
        <v>63</v>
      </c>
      <c r="F33" s="89">
        <f>SummeG+Fapv</f>
        <v>35.4713809692759</v>
      </c>
      <c r="G33" s="96"/>
      <c r="H33" s="97"/>
      <c r="I33" s="92">
        <f>MG+MEagh+MEagv+MEaph+MEapv</f>
        <v>11.8359836881898</v>
      </c>
      <c r="J33" s="98">
        <f>BreiteVFP/2-I33/SummeGP</f>
        <v>0.17632300844329402</v>
      </c>
      <c r="K33" s="99">
        <f>BreiteVFP/3</f>
        <v>0.34</v>
      </c>
      <c r="L33" s="99">
        <f>BreiteVFP/3</f>
        <v>0.34</v>
      </c>
      <c r="M33" s="88" t="s">
        <v>78</v>
      </c>
    </row>
    <row r="34" spans="10:12" ht="13.5">
      <c r="J34" s="100" t="s">
        <v>79</v>
      </c>
      <c r="K34" s="101"/>
      <c r="L34" s="102"/>
    </row>
    <row r="65536" ht="13.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63"/>
  <sheetViews>
    <sheetView workbookViewId="0" topLeftCell="A31">
      <selection activeCell="B77" sqref="B77"/>
    </sheetView>
  </sheetViews>
  <sheetFormatPr defaultColWidth="11.421875" defaultRowHeight="12.75"/>
  <cols>
    <col min="1" max="7" width="11.57421875" style="0" customWidth="1"/>
    <col min="8" max="16384" width="11.57421875" style="0" customWidth="1"/>
  </cols>
  <sheetData>
    <row r="1" ht="13.5"/>
    <row r="2" ht="13.5">
      <c r="B2" t="s">
        <v>80</v>
      </c>
    </row>
    <row r="3" ht="13.5">
      <c r="B3" t="s">
        <v>81</v>
      </c>
    </row>
    <row r="5" ht="13.5">
      <c r="B5" t="s">
        <v>82</v>
      </c>
    </row>
    <row r="6" ht="13.5">
      <c r="B6" t="s">
        <v>83</v>
      </c>
    </row>
    <row r="7" ht="13.5">
      <c r="B7" t="s">
        <v>84</v>
      </c>
    </row>
    <row r="8" ht="13.5">
      <c r="B8" t="s">
        <v>85</v>
      </c>
    </row>
    <row r="58" ht="13.5">
      <c r="B58" t="s">
        <v>80</v>
      </c>
    </row>
    <row r="59" ht="13.5">
      <c r="B59" t="s">
        <v>81</v>
      </c>
    </row>
    <row r="61" ht="13.5">
      <c r="B61" t="s">
        <v>86</v>
      </c>
    </row>
    <row r="62" ht="13.5">
      <c r="B62" t="s">
        <v>87</v>
      </c>
    </row>
    <row r="63" ht="13.5">
      <c r="B63" t="s">
        <v>88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&amp;CSeite &amp;P</oddFooter>
  </headerFooter>
  <legacyDrawing r:id="rId5"/>
  <oleObjects>
    <oleObject progId="LibreOffice.DrawDocument.1" shapeId="17975964" r:id="rId1"/>
    <oleObject progId="LibreOffice.DrawDocument.1" shapeId="18274448" r:id="rId2"/>
    <oleObject progId="LibreOffice.DrawDocument.1" shapeId="15319356" r:id="rId3"/>
    <oleObject progId="LibreOffice.DrawDocument.1" shapeId="1886079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3" width="11.57421875" style="2" customWidth="1"/>
    <col min="4" max="11" width="11.57421875" style="0" customWidth="1"/>
    <col min="12" max="16384" width="11.57421875" style="0" customWidth="1"/>
  </cols>
  <sheetData>
    <row r="2" spans="2:11" ht="13.5">
      <c r="B2" s="2" t="s">
        <v>89</v>
      </c>
      <c r="C2" s="2" t="s">
        <v>90</v>
      </c>
      <c r="D2" t="s">
        <v>91</v>
      </c>
      <c r="K2" t="s">
        <v>92</v>
      </c>
    </row>
    <row r="3" spans="2:11" ht="13.5">
      <c r="B3" s="103">
        <v>0.51</v>
      </c>
      <c r="C3" s="104">
        <v>41010</v>
      </c>
      <c r="D3" t="s">
        <v>93</v>
      </c>
      <c r="K3" t="s">
        <v>94</v>
      </c>
    </row>
    <row r="4" spans="2:11" ht="13.5">
      <c r="B4" s="2">
        <v>0.51</v>
      </c>
      <c r="C4" s="104">
        <v>41013</v>
      </c>
      <c r="D4" t="s">
        <v>95</v>
      </c>
      <c r="K4" t="s">
        <v>96</v>
      </c>
    </row>
    <row r="5" spans="2:11" ht="13.5">
      <c r="B5" s="2">
        <v>0.52</v>
      </c>
      <c r="C5" s="104">
        <v>41015</v>
      </c>
      <c r="D5" t="s">
        <v>97</v>
      </c>
      <c r="K5" t="s">
        <v>96</v>
      </c>
    </row>
    <row r="6" spans="2:11" ht="13.5">
      <c r="B6" s="2">
        <v>0.53</v>
      </c>
      <c r="C6" s="104">
        <v>41914</v>
      </c>
      <c r="D6" t="s">
        <v>98</v>
      </c>
      <c r="K6" t="s">
        <v>96</v>
      </c>
    </row>
    <row r="7" spans="2:11" ht="13.5">
      <c r="B7" s="2">
        <v>0.54</v>
      </c>
      <c r="C7" s="104">
        <v>42145</v>
      </c>
      <c r="D7" t="s">
        <v>99</v>
      </c>
      <c r="K7" t="s">
        <v>96</v>
      </c>
    </row>
    <row r="8" spans="2:11" ht="13.5">
      <c r="B8" s="2">
        <v>0.6000000000000001</v>
      </c>
      <c r="C8" s="104">
        <v>42152</v>
      </c>
      <c r="D8" t="s">
        <v>100</v>
      </c>
      <c r="K8" t="s">
        <v>96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3132491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w.brandl</dc:creator>
  <cp:keywords/>
  <dc:description/>
  <cp:lastModifiedBy>Theo Schmidt</cp:lastModifiedBy>
  <dcterms:created xsi:type="dcterms:W3CDTF">2009-01-02T20:04:45Z</dcterms:created>
  <dcterms:modified xsi:type="dcterms:W3CDTF">2015-05-29T11:47:36Z</dcterms:modified>
  <cp:category/>
  <cp:version/>
  <cp:contentType/>
  <cp:contentStatus/>
  <cp:revision>53</cp:revision>
</cp:coreProperties>
</file>